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465" windowWidth="15360" windowHeight="7620" tabRatio="212"/>
  </bookViews>
  <sheets>
    <sheet name="PREVISÃO 2" sheetId="3" r:id="rId1"/>
    <sheet name="Plan4" sheetId="5" r:id="rId2"/>
  </sheets>
  <externalReferences>
    <externalReference r:id="rId3"/>
  </externalReferences>
  <calcPr calcId="144525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4" i="3" l="1"/>
  <c r="B40" i="3"/>
  <c r="B37" i="3"/>
  <c r="B36" i="3"/>
  <c r="B35" i="3"/>
  <c r="B106" i="3" l="1"/>
  <c r="B104" i="3"/>
  <c r="B103" i="3"/>
  <c r="B102" i="3"/>
  <c r="B89" i="3"/>
  <c r="B80" i="3"/>
  <c r="B75" i="3"/>
  <c r="B71" i="3"/>
  <c r="B67" i="3"/>
  <c r="B56" i="3"/>
  <c r="B44" i="3"/>
  <c r="B16" i="3"/>
  <c r="B30" i="3" s="1"/>
  <c r="B8" i="3"/>
  <c r="B4" i="3"/>
  <c r="B9" i="3" s="1"/>
  <c r="B85" i="3" l="1"/>
  <c r="D95" i="3" l="1"/>
  <c r="C79" i="3"/>
  <c r="C67" i="3"/>
  <c r="C75" i="3"/>
  <c r="C71" i="3"/>
  <c r="C56" i="3"/>
  <c r="C80" i="3"/>
  <c r="C30" i="3"/>
  <c r="C9" i="3"/>
  <c r="C44" i="3"/>
  <c r="E12" i="5"/>
  <c r="C1" i="5"/>
  <c r="D5" i="5"/>
  <c r="H5" i="5"/>
  <c r="H4" i="5"/>
  <c r="C5" i="5"/>
  <c r="C3" i="5"/>
  <c r="C10" i="5"/>
  <c r="C8" i="5"/>
  <c r="C12" i="5"/>
  <c r="D12" i="5"/>
  <c r="D10" i="5"/>
  <c r="E10" i="5" s="1"/>
  <c r="D8" i="5"/>
  <c r="E8" i="5" s="1"/>
  <c r="B12" i="5"/>
  <c r="B10" i="5"/>
  <c r="B8" i="5"/>
  <c r="B5" i="5"/>
  <c r="B3" i="5"/>
  <c r="C85" i="3" l="1"/>
  <c r="E97" i="3"/>
  <c r="E99" i="3" s="1"/>
  <c r="F97" i="3"/>
  <c r="F99" i="3" s="1"/>
  <c r="D97" i="3"/>
  <c r="D99" i="3" s="1"/>
  <c r="E106" i="3" l="1"/>
  <c r="E104" i="3"/>
  <c r="E103" i="3"/>
  <c r="E102" i="3"/>
</calcChain>
</file>

<file path=xl/sharedStrings.xml><?xml version="1.0" encoding="utf-8"?>
<sst xmlns="http://schemas.openxmlformats.org/spreadsheetml/2006/main" count="78" uniqueCount="69">
  <si>
    <t>Total de Pessoal</t>
  </si>
  <si>
    <t>Valor Médio Mensal</t>
  </si>
  <si>
    <t>SALÁRIOS/ENCARGOS</t>
  </si>
  <si>
    <t xml:space="preserve"> PRESTADORES DE SERVIÇOS</t>
  </si>
  <si>
    <t>DESPESAS ADMINISTRATIVAS</t>
  </si>
  <si>
    <t>SISTEMA DE COMBATE INCÊNDIO</t>
  </si>
  <si>
    <t>MANUTENÇÃO</t>
  </si>
  <si>
    <t>2.8.1  Recarga-Manut de Extintores e Mangueiras</t>
  </si>
  <si>
    <t>ORDINÁRIAS</t>
  </si>
  <si>
    <t>Seguro</t>
  </si>
  <si>
    <t>Energia Elétrica</t>
  </si>
  <si>
    <t>Telefonia</t>
  </si>
  <si>
    <t>Água e Esgoto Área Comum</t>
  </si>
  <si>
    <t>Pessoal</t>
  </si>
  <si>
    <t>Vale Alimentação-Cesta Básica</t>
  </si>
  <si>
    <t>Vale Transporte</t>
  </si>
  <si>
    <t>EPI</t>
  </si>
  <si>
    <t>Férias</t>
  </si>
  <si>
    <t>Décimo Terceiro</t>
  </si>
  <si>
    <t>Rescisão</t>
  </si>
  <si>
    <t>Pro-labore Síndico</t>
  </si>
  <si>
    <t>Adiantamento de Salário</t>
  </si>
  <si>
    <t xml:space="preserve">FGTS </t>
  </si>
  <si>
    <t>Pis S- Salário</t>
  </si>
  <si>
    <t>Exame Médico Admissional-Demissional</t>
  </si>
  <si>
    <t>Exame Medico Períodico</t>
  </si>
  <si>
    <t>Material para Escritório</t>
  </si>
  <si>
    <t>Serviços Jurídicos-Custas Processuais</t>
  </si>
  <si>
    <t>Serviço de Comunicação</t>
  </si>
  <si>
    <t xml:space="preserve">TOTAL MENSAL </t>
  </si>
  <si>
    <t>Administradora</t>
  </si>
  <si>
    <t xml:space="preserve">ORÇAMENTO COMUM - MÉDIA MENSAL Com taxa de inadimplência </t>
  </si>
  <si>
    <t>ORÇAMENTO COMUM - TOTAL ANUAL Com taxa de inadimplência</t>
  </si>
  <si>
    <t>INADIMPLENCIA MENSAL EM %</t>
  </si>
  <si>
    <t>Inadimplencia em valores</t>
  </si>
  <si>
    <t>Custas de Processos</t>
  </si>
  <si>
    <t>CUSTAS JUDICIAIS</t>
  </si>
  <si>
    <t>PAISAGISMO</t>
  </si>
  <si>
    <t>MATERIAL DE CONSUMO PERMANENTE</t>
  </si>
  <si>
    <t>Manutenção Predial</t>
  </si>
  <si>
    <t>Chaveiro</t>
  </si>
  <si>
    <t>Alvenaria</t>
  </si>
  <si>
    <t>Eletrecista</t>
  </si>
  <si>
    <t>Jardinagem</t>
  </si>
  <si>
    <t>Interfone</t>
  </si>
  <si>
    <t>Despesas Báncarias</t>
  </si>
  <si>
    <t>DESPESAS CORREIOS</t>
  </si>
  <si>
    <t>Cartório</t>
  </si>
  <si>
    <t>Prefeitura</t>
  </si>
  <si>
    <t>Galões de Agua</t>
  </si>
  <si>
    <t>CFTV/SISTEMA/ANTENA/INTERFONE</t>
  </si>
  <si>
    <t>Engenharia</t>
  </si>
  <si>
    <t>Advogados</t>
  </si>
  <si>
    <t>Bombas D' àgua (inovabombas)</t>
  </si>
  <si>
    <t>Gex - (portaria e Limpeza)</t>
  </si>
  <si>
    <t>Geradores</t>
  </si>
  <si>
    <t>Dedetização/Desratização e Desentupimento (ecovile)</t>
  </si>
  <si>
    <t>INSS S- Síndico</t>
  </si>
  <si>
    <t>Salário Fernando</t>
  </si>
  <si>
    <t>Comgás</t>
  </si>
  <si>
    <r>
      <t xml:space="preserve">ORÇAMENTO COMUM - TOTAL ANUAL </t>
    </r>
    <r>
      <rPr>
        <b/>
        <sz val="10"/>
        <color indexed="8"/>
        <rFont val="Arial"/>
        <family val="2"/>
      </rPr>
      <t>→</t>
    </r>
  </si>
  <si>
    <t>INSS S- Zelador</t>
  </si>
  <si>
    <t>Valor em Dezembro 2018</t>
  </si>
  <si>
    <t>Vale Refeição</t>
  </si>
  <si>
    <t>Diversos " Alvenaria, Chaveiro, Mil coisas, vilage"</t>
  </si>
  <si>
    <t>RATEIO APENAS COM A CONSTRUTORA</t>
  </si>
  <si>
    <t>RATEIO CONSERTO MUROS R$ 400.000,00</t>
  </si>
  <si>
    <t>RATEIO CONSERTO MUROS R$ 300.000,00</t>
  </si>
  <si>
    <t>RATEIO CONSERTO MUROS R$ 250.000,00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</si>
</sst>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.00_);\-#,##0.00"/>
    <numFmt numFmtId="167" formatCode="&quot;R$&quot;\ #,##0.00"/>
  </numFmts>
  <fonts count="16" x14ac:knownFonts="1"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1"/>
    </font>
    <font>
      <b/>
      <sz val="9"/>
      <color rgb="FF00206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  <xf numFmtId="44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0" fontId="3" fillId="0" borderId="1" xfId="2" applyNumberFormat="1" applyFont="1" applyBorder="1"/>
    <xf numFmtId="165" fontId="2" fillId="0" borderId="0" xfId="1" applyNumberFormat="1" applyFont="1"/>
    <xf numFmtId="165" fontId="2" fillId="0" borderId="0" xfId="0" applyNumberFormat="1" applyFont="1"/>
    <xf numFmtId="10" fontId="3" fillId="0" borderId="0" xfId="2" applyNumberFormat="1" applyFont="1" applyBorder="1"/>
    <xf numFmtId="0" fontId="2" fillId="3" borderId="0" xfId="0" applyFont="1" applyFill="1"/>
    <xf numFmtId="9" fontId="3" fillId="0" borderId="1" xfId="2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10" fontId="3" fillId="3" borderId="0" xfId="2" applyNumberFormat="1" applyFont="1" applyFill="1" applyBorder="1"/>
    <xf numFmtId="0" fontId="2" fillId="0" borderId="0" xfId="0" applyFont="1" applyFill="1"/>
    <xf numFmtId="0" fontId="0" fillId="3" borderId="0" xfId="0" applyFill="1" applyBorder="1" applyAlignment="1">
      <alignment horizontal="left"/>
    </xf>
    <xf numFmtId="167" fontId="7" fillId="0" borderId="1" xfId="0" applyNumberFormat="1" applyFont="1" applyBorder="1"/>
    <xf numFmtId="167" fontId="7" fillId="3" borderId="1" xfId="0" applyNumberFormat="1" applyFont="1" applyFill="1" applyBorder="1"/>
    <xf numFmtId="164" fontId="7" fillId="3" borderId="1" xfId="1" applyNumberFormat="1" applyFont="1" applyFill="1" applyBorder="1" applyAlignment="1">
      <alignment horizontal="center"/>
    </xf>
    <xf numFmtId="0" fontId="7" fillId="0" borderId="1" xfId="0" applyFont="1" applyBorder="1"/>
    <xf numFmtId="164" fontId="7" fillId="0" borderId="1" xfId="1" applyNumberFormat="1" applyFont="1" applyBorder="1" applyAlignment="1">
      <alignment horizontal="center"/>
    </xf>
    <xf numFmtId="9" fontId="5" fillId="0" borderId="0" xfId="0" applyNumberFormat="1" applyFont="1"/>
    <xf numFmtId="167" fontId="4" fillId="0" borderId="9" xfId="0" applyNumberFormat="1" applyFont="1" applyBorder="1"/>
    <xf numFmtId="164" fontId="5" fillId="0" borderId="10" xfId="1" applyNumberFormat="1" applyFont="1" applyBorder="1" applyAlignment="1">
      <alignment horizontal="center"/>
    </xf>
    <xf numFmtId="9" fontId="3" fillId="0" borderId="0" xfId="2" applyFont="1" applyFill="1" applyBorder="1" applyAlignment="1">
      <alignment horizontal="center"/>
    </xf>
    <xf numFmtId="44" fontId="0" fillId="0" borderId="0" xfId="3" applyFont="1"/>
    <xf numFmtId="44" fontId="0" fillId="0" borderId="0" xfId="0" applyNumberFormat="1"/>
    <xf numFmtId="44" fontId="1" fillId="0" borderId="0" xfId="3" applyFont="1"/>
    <xf numFmtId="0" fontId="8" fillId="0" borderId="0" xfId="0" applyFont="1"/>
    <xf numFmtId="0" fontId="9" fillId="0" borderId="1" xfId="0" applyFont="1" applyBorder="1"/>
    <xf numFmtId="0" fontId="8" fillId="3" borderId="0" xfId="0" applyFont="1" applyFill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9" fillId="3" borderId="1" xfId="0" applyFont="1" applyFill="1" applyBorder="1"/>
    <xf numFmtId="0" fontId="9" fillId="3" borderId="2" xfId="0" applyFont="1" applyFill="1" applyBorder="1" applyAlignment="1"/>
    <xf numFmtId="0" fontId="11" fillId="3" borderId="1" xfId="0" applyFont="1" applyFill="1" applyBorder="1"/>
    <xf numFmtId="0" fontId="8" fillId="3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3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" xfId="0" applyFont="1" applyBorder="1"/>
    <xf numFmtId="166" fontId="11" fillId="0" borderId="0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3" fillId="0" borderId="0" xfId="0" applyFont="1"/>
    <xf numFmtId="0" fontId="8" fillId="0" borderId="1" xfId="0" applyFont="1" applyBorder="1" applyAlignment="1">
      <alignment horizontal="center" wrapText="1"/>
    </xf>
    <xf numFmtId="167" fontId="13" fillId="0" borderId="7" xfId="0" applyNumberFormat="1" applyFont="1" applyBorder="1"/>
    <xf numFmtId="167" fontId="13" fillId="0" borderId="1" xfId="0" applyNumberFormat="1" applyFont="1" applyBorder="1"/>
    <xf numFmtId="0" fontId="13" fillId="0" borderId="0" xfId="0" applyFont="1" applyFill="1"/>
    <xf numFmtId="44" fontId="13" fillId="0" borderId="4" xfId="3" applyFont="1" applyBorder="1"/>
    <xf numFmtId="44" fontId="13" fillId="0" borderId="1" xfId="3" applyFont="1" applyBorder="1"/>
    <xf numFmtId="164" fontId="13" fillId="3" borderId="0" xfId="0" applyNumberFormat="1" applyFont="1" applyFill="1" applyBorder="1"/>
    <xf numFmtId="44" fontId="13" fillId="3" borderId="1" xfId="3" applyFont="1" applyFill="1" applyBorder="1"/>
    <xf numFmtId="44" fontId="13" fillId="3" borderId="4" xfId="3" applyFont="1" applyFill="1" applyBorder="1"/>
    <xf numFmtId="0" fontId="13" fillId="3" borderId="0" xfId="0" applyFont="1" applyFill="1"/>
    <xf numFmtId="44" fontId="8" fillId="0" borderId="1" xfId="3" applyFont="1" applyBorder="1"/>
    <xf numFmtId="164" fontId="8" fillId="0" borderId="0" xfId="0" applyNumberFormat="1" applyFont="1" applyBorder="1"/>
    <xf numFmtId="167" fontId="8" fillId="0" borderId="1" xfId="3" applyNumberFormat="1" applyFont="1" applyBorder="1"/>
    <xf numFmtId="44" fontId="8" fillId="0" borderId="0" xfId="3" applyFont="1" applyFill="1" applyBorder="1"/>
    <xf numFmtId="44" fontId="8" fillId="4" borderId="1" xfId="3" applyFont="1" applyFill="1" applyBorder="1"/>
    <xf numFmtId="9" fontId="8" fillId="4" borderId="1" xfId="2" applyFont="1" applyFill="1" applyBorder="1" applyAlignment="1">
      <alignment horizontal="center"/>
    </xf>
    <xf numFmtId="164" fontId="13" fillId="0" borderId="0" xfId="0" applyNumberFormat="1" applyFont="1"/>
    <xf numFmtId="164" fontId="13" fillId="0" borderId="10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12" fillId="3" borderId="1" xfId="0" applyNumberFormat="1" applyFont="1" applyFill="1" applyBorder="1"/>
    <xf numFmtId="167" fontId="2" fillId="0" borderId="0" xfId="0" applyNumberFormat="1" applyFont="1"/>
    <xf numFmtId="167" fontId="14" fillId="0" borderId="0" xfId="0" applyNumberFormat="1" applyFont="1"/>
    <xf numFmtId="0" fontId="15" fillId="0" borderId="0" xfId="0" applyFont="1"/>
    <xf numFmtId="167" fontId="14" fillId="5" borderId="0" xfId="0" applyNumberFormat="1" applyFont="1" applyFill="1"/>
    <xf numFmtId="0" fontId="0" fillId="3" borderId="0" xfId="0" applyFill="1" applyBorder="1" applyAlignment="1">
      <alignment horizontal="left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Grafico das Despesas</a:t>
            </a:r>
          </a:p>
        </c:rich>
      </c:tx>
      <c:layout>
        <c:manualLayout>
          <c:xMode val="edge"/>
          <c:yMode val="edge"/>
          <c:x val="0.54017349018233352"/>
          <c:y val="1.572897611796484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6777187193104962"/>
                  <c:y val="8.9906084389053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Plan1!#REF!</c:f>
            </c:multiLvlStrRef>
          </c:cat>
          <c:val>
            <c:numRef>
              <c:f>Plan1!#REF!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Grafico das Despesas</a:t>
            </a:r>
          </a:p>
        </c:rich>
      </c:tx>
      <c:layout>
        <c:manualLayout>
          <c:xMode val="edge"/>
          <c:yMode val="edge"/>
          <c:x val="0.54017349018233352"/>
          <c:y val="1.572897611796484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0.16777187193104962"/>
                  <c:y val="8.9906084389053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multiLvlStrRef>
              <c:f>'PREVISÃO 1'!#REF!</c:f>
            </c:multiLvlStrRef>
          </c:cat>
          <c:val>
            <c:numRef>
              <c:f>'PREVISÃO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2344615</xdr:colOff>
      <xdr:row>127</xdr:row>
      <xdr:rowOff>43961</xdr:rowOff>
    </xdr:from>
    <xdr:to>
      <xdr:col>7</xdr:col>
      <xdr:colOff>278423</xdr:colOff>
      <xdr:row>152</xdr:row>
      <xdr:rowOff>51289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2344615</xdr:colOff>
      <xdr:row>128</xdr:row>
      <xdr:rowOff>43961</xdr:rowOff>
    </xdr:from>
    <xdr:to>
      <xdr:col>7</xdr:col>
      <xdr:colOff>278423</xdr:colOff>
      <xdr:row>153</xdr:row>
      <xdr:rowOff>51289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TE%20ANUAL%20E%20PREVIS&#195;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AÇÃO DE CONTAS"/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  <sheetName val="Plan1"/>
    </sheetNames>
    <sheetDataSet>
      <sheetData sheetId="0" refreshError="1">
        <row r="15">
          <cell r="O15">
            <v>117.91000000000001</v>
          </cell>
        </row>
        <row r="98">
          <cell r="M98">
            <v>162242.59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7"/>
  <sheetViews>
    <sheetView showGridLines="0" tabSelected="1" topLeftCell="A97" zoomScale="130" zoomScaleNormal="130" workbookViewId="0">
      <selection activeCell="B114" sqref="B114"/>
    </sheetView>
  </sheetViews>
  <sheetFormatPr defaultColWidth="8.85546875" defaultRowHeight="12.75" x14ac:dyDescent="0.2"/>
  <cols>
    <col min="1" max="1" width="36.42578125" style="25" customWidth="1"/>
    <col min="2" max="2" width="17.85546875" style="50" bestFit="1" customWidth="1"/>
    <col min="3" max="3" width="12.28515625" style="1" bestFit="1" customWidth="1"/>
    <col min="4" max="4" width="13.28515625" style="1" bestFit="1" customWidth="1"/>
    <col min="5" max="5" width="11" style="1" bestFit="1" customWidth="1"/>
    <col min="6" max="6" width="12.28515625" style="1" bestFit="1" customWidth="1"/>
    <col min="7" max="12" width="8.85546875" style="1"/>
    <col min="13" max="13" width="11.28515625" style="1" bestFit="1" customWidth="1"/>
    <col min="14" max="14" width="12.28515625" style="1" bestFit="1" customWidth="1"/>
    <col min="15" max="16384" width="8.85546875" style="1"/>
  </cols>
  <sheetData>
    <row r="2" spans="1:15" ht="3" customHeight="1" x14ac:dyDescent="0.2"/>
    <row r="3" spans="1:15" ht="24.75" customHeight="1" x14ac:dyDescent="0.2">
      <c r="A3" s="41" t="s">
        <v>8</v>
      </c>
      <c r="B3" s="51" t="s">
        <v>1</v>
      </c>
    </row>
    <row r="4" spans="1:15" x14ac:dyDescent="0.2">
      <c r="A4" s="26" t="s">
        <v>10</v>
      </c>
      <c r="B4" s="52">
        <f>1856.46*1.1514</f>
        <v>2137.5280440000001</v>
      </c>
      <c r="D4" s="76"/>
      <c r="E4" s="76"/>
      <c r="F4" s="76"/>
    </row>
    <row r="5" spans="1:15" x14ac:dyDescent="0.2">
      <c r="A5" s="26" t="s">
        <v>11</v>
      </c>
      <c r="B5" s="53">
        <v>190</v>
      </c>
      <c r="D5" s="76"/>
      <c r="E5" s="76"/>
      <c r="F5" s="76"/>
    </row>
    <row r="6" spans="1:15" x14ac:dyDescent="0.2">
      <c r="A6" s="26" t="s">
        <v>59</v>
      </c>
      <c r="B6" s="53">
        <v>0</v>
      </c>
      <c r="D6" s="12"/>
      <c r="E6" s="12"/>
      <c r="F6" s="12"/>
    </row>
    <row r="7" spans="1:15" x14ac:dyDescent="0.2">
      <c r="A7" s="26" t="s">
        <v>9</v>
      </c>
      <c r="B7" s="53">
        <v>677</v>
      </c>
      <c r="D7" s="12"/>
      <c r="E7" s="12"/>
      <c r="F7" s="12"/>
    </row>
    <row r="8" spans="1:15" x14ac:dyDescent="0.2">
      <c r="A8" s="26" t="s">
        <v>12</v>
      </c>
      <c r="B8" s="53">
        <f>17453.89*1.035</f>
        <v>18064.776149999998</v>
      </c>
      <c r="C8" s="72"/>
      <c r="D8" s="76"/>
      <c r="E8" s="76"/>
      <c r="F8" s="76"/>
    </row>
    <row r="9" spans="1:15" x14ac:dyDescent="0.2">
      <c r="A9" s="27"/>
      <c r="B9" s="53">
        <f>SUM(B4:B8)</f>
        <v>21069.304193999997</v>
      </c>
      <c r="C9" s="2">
        <f>B9/$B$85</f>
        <v>0.24319091781030083</v>
      </c>
    </row>
    <row r="10" spans="1:15" x14ac:dyDescent="0.2">
      <c r="A10" s="27"/>
      <c r="B10" s="54"/>
    </row>
    <row r="11" spans="1:15" x14ac:dyDescent="0.2">
      <c r="A11" s="27"/>
    </row>
    <row r="12" spans="1:15" x14ac:dyDescent="0.2">
      <c r="A12" s="41" t="s">
        <v>2</v>
      </c>
    </row>
    <row r="13" spans="1:15" ht="25.5" x14ac:dyDescent="0.2">
      <c r="A13" s="28" t="s">
        <v>13</v>
      </c>
      <c r="B13" s="51" t="s">
        <v>1</v>
      </c>
    </row>
    <row r="14" spans="1:15" x14ac:dyDescent="0.2">
      <c r="A14" s="29" t="s">
        <v>58</v>
      </c>
      <c r="B14" s="55">
        <v>2500</v>
      </c>
      <c r="M14" s="3"/>
      <c r="N14" s="3"/>
      <c r="O14" s="4"/>
    </row>
    <row r="15" spans="1:15" x14ac:dyDescent="0.2">
      <c r="A15" s="29" t="s">
        <v>61</v>
      </c>
      <c r="B15" s="55">
        <v>500</v>
      </c>
      <c r="M15" s="3"/>
      <c r="N15" s="3"/>
      <c r="O15" s="4"/>
    </row>
    <row r="16" spans="1:15" x14ac:dyDescent="0.2">
      <c r="A16" s="26" t="s">
        <v>57</v>
      </c>
      <c r="B16" s="55">
        <f>'[1]PRESTAÇÃO DE CONTAS'!O15</f>
        <v>117.91000000000001</v>
      </c>
      <c r="C16" s="6"/>
      <c r="D16" s="6"/>
      <c r="E16" s="6"/>
    </row>
    <row r="17" spans="1:5" x14ac:dyDescent="0.2">
      <c r="A17" s="26" t="s">
        <v>14</v>
      </c>
      <c r="B17" s="55">
        <v>289.39999999999998</v>
      </c>
      <c r="C17" s="6"/>
      <c r="D17" s="6"/>
      <c r="E17" s="6"/>
    </row>
    <row r="18" spans="1:5" x14ac:dyDescent="0.2">
      <c r="A18" s="30" t="s">
        <v>15</v>
      </c>
      <c r="B18" s="55">
        <v>258</v>
      </c>
      <c r="C18" s="6"/>
      <c r="D18" s="6"/>
      <c r="E18" s="6"/>
    </row>
    <row r="19" spans="1:5" x14ac:dyDescent="0.2">
      <c r="A19" s="30" t="s">
        <v>63</v>
      </c>
      <c r="B19" s="55">
        <v>365.87</v>
      </c>
      <c r="C19" s="6"/>
      <c r="D19" s="6"/>
      <c r="E19" s="6"/>
    </row>
    <row r="20" spans="1:5" x14ac:dyDescent="0.2">
      <c r="A20" s="30" t="s">
        <v>16</v>
      </c>
      <c r="B20" s="55">
        <v>0</v>
      </c>
      <c r="C20" s="6"/>
      <c r="D20" s="6"/>
      <c r="E20" s="6"/>
    </row>
    <row r="21" spans="1:5" x14ac:dyDescent="0.2">
      <c r="A21" s="30" t="s">
        <v>17</v>
      </c>
      <c r="B21" s="55">
        <v>208.33</v>
      </c>
      <c r="C21" s="6"/>
      <c r="D21" s="6"/>
      <c r="E21" s="6"/>
    </row>
    <row r="22" spans="1:5" x14ac:dyDescent="0.2">
      <c r="A22" s="30" t="s">
        <v>18</v>
      </c>
      <c r="B22" s="55">
        <v>208.33</v>
      </c>
      <c r="C22" s="6"/>
      <c r="D22" s="6"/>
      <c r="E22" s="6"/>
    </row>
    <row r="23" spans="1:5" x14ac:dyDescent="0.2">
      <c r="A23" s="26" t="s">
        <v>19</v>
      </c>
      <c r="B23" s="55">
        <v>0</v>
      </c>
      <c r="C23" s="6"/>
      <c r="D23" s="6"/>
      <c r="E23" s="6"/>
    </row>
    <row r="24" spans="1:5" x14ac:dyDescent="0.2">
      <c r="A24" s="26" t="s">
        <v>20</v>
      </c>
      <c r="B24" s="55">
        <v>954</v>
      </c>
      <c r="C24" s="6"/>
      <c r="D24" s="6"/>
      <c r="E24" s="6"/>
    </row>
    <row r="25" spans="1:5" x14ac:dyDescent="0.2">
      <c r="A25" s="26" t="s">
        <v>21</v>
      </c>
      <c r="B25" s="55">
        <v>0</v>
      </c>
      <c r="C25" s="6"/>
      <c r="D25" s="6"/>
      <c r="E25" s="6"/>
    </row>
    <row r="26" spans="1:5" x14ac:dyDescent="0.2">
      <c r="A26" s="26" t="s">
        <v>22</v>
      </c>
      <c r="B26" s="55">
        <v>200</v>
      </c>
      <c r="C26" s="6"/>
      <c r="D26" s="6"/>
      <c r="E26" s="6"/>
    </row>
    <row r="27" spans="1:5" x14ac:dyDescent="0.2">
      <c r="A27" s="26" t="s">
        <v>23</v>
      </c>
      <c r="B27" s="55">
        <v>0</v>
      </c>
      <c r="C27" s="6"/>
      <c r="D27" s="6"/>
      <c r="E27" s="6"/>
    </row>
    <row r="28" spans="1:5" x14ac:dyDescent="0.2">
      <c r="A28" s="26" t="s">
        <v>24</v>
      </c>
      <c r="B28" s="55">
        <v>0</v>
      </c>
      <c r="C28" s="6"/>
      <c r="D28" s="6"/>
      <c r="E28" s="6"/>
    </row>
    <row r="29" spans="1:5" x14ac:dyDescent="0.2">
      <c r="A29" s="26" t="s">
        <v>25</v>
      </c>
      <c r="B29" s="55">
        <v>0</v>
      </c>
      <c r="C29" s="6"/>
      <c r="D29" s="6"/>
      <c r="E29" s="6"/>
    </row>
    <row r="30" spans="1:5" x14ac:dyDescent="0.2">
      <c r="A30" s="31" t="s">
        <v>0</v>
      </c>
      <c r="B30" s="56">
        <f>SUM(B14:B29)</f>
        <v>5601.84</v>
      </c>
      <c r="C30" s="2">
        <f>B30/$B$85</f>
        <v>6.4658832512105871E-2</v>
      </c>
    </row>
    <row r="31" spans="1:5" x14ac:dyDescent="0.2">
      <c r="A31" s="27"/>
      <c r="B31" s="54"/>
      <c r="C31" s="5"/>
    </row>
    <row r="32" spans="1:5" x14ac:dyDescent="0.2">
      <c r="A32" s="27"/>
      <c r="B32" s="57"/>
      <c r="C32" s="10"/>
    </row>
    <row r="33" spans="1:6" x14ac:dyDescent="0.2">
      <c r="A33" s="27"/>
      <c r="B33" s="57"/>
      <c r="C33" s="10"/>
    </row>
    <row r="34" spans="1:6" ht="25.5" x14ac:dyDescent="0.2">
      <c r="A34" s="42" t="s">
        <v>3</v>
      </c>
      <c r="B34" s="51" t="s">
        <v>1</v>
      </c>
      <c r="C34" s="6"/>
    </row>
    <row r="35" spans="1:6" x14ac:dyDescent="0.2">
      <c r="A35" s="30" t="s">
        <v>30</v>
      </c>
      <c r="B35" s="56">
        <f>2827*1.07</f>
        <v>3024.8900000000003</v>
      </c>
      <c r="C35" s="6"/>
      <c r="D35" s="6"/>
      <c r="E35" s="6"/>
      <c r="F35" s="6"/>
    </row>
    <row r="36" spans="1:6" x14ac:dyDescent="0.2">
      <c r="A36" s="30" t="s">
        <v>56</v>
      </c>
      <c r="B36" s="56">
        <f>1600*1.07</f>
        <v>1712</v>
      </c>
      <c r="C36" s="6"/>
      <c r="D36" s="6"/>
      <c r="E36" s="6"/>
      <c r="F36" s="6"/>
    </row>
    <row r="37" spans="1:6" x14ac:dyDescent="0.2">
      <c r="A37" s="30" t="s">
        <v>55</v>
      </c>
      <c r="B37" s="56">
        <f>415*1.07</f>
        <v>444.05</v>
      </c>
      <c r="C37" s="6"/>
      <c r="D37" s="6"/>
      <c r="E37" s="6"/>
      <c r="F37" s="6"/>
    </row>
    <row r="38" spans="1:6" s="6" customFormat="1" x14ac:dyDescent="0.2">
      <c r="A38" s="30" t="s">
        <v>43</v>
      </c>
      <c r="B38" s="58">
        <v>1500</v>
      </c>
    </row>
    <row r="39" spans="1:6" s="6" customFormat="1" x14ac:dyDescent="0.2">
      <c r="A39" s="32" t="s">
        <v>54</v>
      </c>
      <c r="B39" s="58">
        <v>42000</v>
      </c>
    </row>
    <row r="40" spans="1:6" s="6" customFormat="1" x14ac:dyDescent="0.2">
      <c r="A40" s="30" t="s">
        <v>53</v>
      </c>
      <c r="B40" s="59">
        <f>300*1.07</f>
        <v>321</v>
      </c>
    </row>
    <row r="41" spans="1:6" s="6" customFormat="1" x14ac:dyDescent="0.2">
      <c r="A41" s="30" t="s">
        <v>52</v>
      </c>
      <c r="B41" s="58">
        <v>0</v>
      </c>
    </row>
    <row r="42" spans="1:6" s="6" customFormat="1" x14ac:dyDescent="0.2">
      <c r="A42" s="30" t="s">
        <v>51</v>
      </c>
      <c r="B42" s="58">
        <v>3900</v>
      </c>
    </row>
    <row r="43" spans="1:6" s="6" customFormat="1" x14ac:dyDescent="0.2">
      <c r="A43" s="30" t="s">
        <v>50</v>
      </c>
      <c r="B43" s="58">
        <v>1100</v>
      </c>
    </row>
    <row r="44" spans="1:6" x14ac:dyDescent="0.2">
      <c r="A44" s="27"/>
      <c r="B44" s="56">
        <f>SUM(B35:B43)</f>
        <v>54001.94</v>
      </c>
      <c r="C44" s="2">
        <f>B44/$B$85</f>
        <v>0.62331348160404276</v>
      </c>
    </row>
    <row r="45" spans="1:6" x14ac:dyDescent="0.2">
      <c r="A45" s="27"/>
      <c r="B45" s="54"/>
      <c r="C45" s="5"/>
    </row>
    <row r="46" spans="1:6" x14ac:dyDescent="0.2">
      <c r="A46" s="33"/>
      <c r="B46" s="60"/>
      <c r="C46" s="6"/>
    </row>
    <row r="47" spans="1:6" ht="25.5" x14ac:dyDescent="0.2">
      <c r="A47" s="43" t="s">
        <v>4</v>
      </c>
      <c r="B47" s="51" t="s">
        <v>1</v>
      </c>
      <c r="C47" s="6"/>
    </row>
    <row r="48" spans="1:6" x14ac:dyDescent="0.2">
      <c r="A48" s="26" t="s">
        <v>49</v>
      </c>
      <c r="B48" s="56">
        <v>0</v>
      </c>
    </row>
    <row r="49" spans="1:7" x14ac:dyDescent="0.2">
      <c r="A49" s="26" t="s">
        <v>26</v>
      </c>
      <c r="B49" s="56">
        <v>0</v>
      </c>
    </row>
    <row r="50" spans="1:7" x14ac:dyDescent="0.2">
      <c r="A50" s="26" t="s">
        <v>48</v>
      </c>
      <c r="B50" s="56">
        <v>0</v>
      </c>
      <c r="E50" s="76"/>
      <c r="F50" s="76"/>
      <c r="G50" s="76"/>
    </row>
    <row r="51" spans="1:7" x14ac:dyDescent="0.2">
      <c r="A51" s="26" t="s">
        <v>27</v>
      </c>
      <c r="B51" s="56">
        <v>0</v>
      </c>
      <c r="E51" s="12"/>
      <c r="F51" s="12"/>
      <c r="G51" s="12"/>
    </row>
    <row r="52" spans="1:7" x14ac:dyDescent="0.2">
      <c r="A52" s="26" t="s">
        <v>47</v>
      </c>
      <c r="B52" s="56">
        <v>0</v>
      </c>
      <c r="E52" s="12"/>
      <c r="F52" s="12"/>
      <c r="G52" s="12"/>
    </row>
    <row r="53" spans="1:7" x14ac:dyDescent="0.2">
      <c r="A53" s="29" t="s">
        <v>46</v>
      </c>
      <c r="B53" s="56">
        <v>0</v>
      </c>
      <c r="E53" s="12"/>
      <c r="F53" s="12"/>
      <c r="G53" s="12"/>
    </row>
    <row r="54" spans="1:7" x14ac:dyDescent="0.2">
      <c r="A54" s="26" t="s">
        <v>45</v>
      </c>
      <c r="B54" s="56">
        <v>1430</v>
      </c>
      <c r="E54" s="12"/>
      <c r="F54" s="12"/>
      <c r="G54" s="12"/>
    </row>
    <row r="55" spans="1:7" x14ac:dyDescent="0.2">
      <c r="A55" s="26" t="s">
        <v>28</v>
      </c>
      <c r="B55" s="56">
        <v>0</v>
      </c>
    </row>
    <row r="56" spans="1:7" x14ac:dyDescent="0.2">
      <c r="A56" s="27"/>
      <c r="B56" s="56">
        <f>SUM(B48:B55)</f>
        <v>1430</v>
      </c>
      <c r="C56" s="2">
        <f>B56/$B$85</f>
        <v>1.6505671438725739E-2</v>
      </c>
    </row>
    <row r="57" spans="1:7" x14ac:dyDescent="0.2">
      <c r="A57" s="27"/>
      <c r="B57" s="54"/>
    </row>
    <row r="58" spans="1:7" x14ac:dyDescent="0.2">
      <c r="A58" s="27"/>
      <c r="B58" s="60"/>
      <c r="C58" s="6"/>
      <c r="D58" s="6"/>
    </row>
    <row r="59" spans="1:7" ht="25.5" x14ac:dyDescent="0.2">
      <c r="A59" s="41" t="s">
        <v>6</v>
      </c>
      <c r="B59" s="51" t="s">
        <v>1</v>
      </c>
      <c r="C59" s="6"/>
      <c r="D59" s="6"/>
    </row>
    <row r="60" spans="1:7" x14ac:dyDescent="0.2">
      <c r="A60" s="30" t="s">
        <v>44</v>
      </c>
      <c r="B60" s="56">
        <v>0</v>
      </c>
    </row>
    <row r="61" spans="1:7" x14ac:dyDescent="0.2">
      <c r="A61" s="30" t="s">
        <v>43</v>
      </c>
      <c r="B61" s="56">
        <v>0</v>
      </c>
    </row>
    <row r="62" spans="1:7" x14ac:dyDescent="0.2">
      <c r="A62" s="30" t="s">
        <v>42</v>
      </c>
      <c r="B62" s="56">
        <v>0</v>
      </c>
    </row>
    <row r="63" spans="1:7" x14ac:dyDescent="0.2">
      <c r="A63" s="30" t="s">
        <v>41</v>
      </c>
      <c r="B63" s="56">
        <v>0</v>
      </c>
    </row>
    <row r="64" spans="1:7" x14ac:dyDescent="0.2">
      <c r="A64" s="30" t="s">
        <v>40</v>
      </c>
      <c r="B64" s="56">
        <v>0</v>
      </c>
    </row>
    <row r="65" spans="1:3" x14ac:dyDescent="0.2">
      <c r="A65" s="30" t="s">
        <v>64</v>
      </c>
      <c r="B65" s="56">
        <v>2000</v>
      </c>
    </row>
    <row r="66" spans="1:3" x14ac:dyDescent="0.2">
      <c r="A66" s="30" t="s">
        <v>39</v>
      </c>
      <c r="B66" s="56">
        <v>0</v>
      </c>
    </row>
    <row r="67" spans="1:3" x14ac:dyDescent="0.2">
      <c r="A67" s="27"/>
      <c r="B67" s="61">
        <f>SUM(B60:B66)</f>
        <v>2000</v>
      </c>
      <c r="C67" s="2">
        <f>B67/$B$85</f>
        <v>2.3084855159056981E-2</v>
      </c>
    </row>
    <row r="68" spans="1:3" x14ac:dyDescent="0.2">
      <c r="A68" s="27"/>
      <c r="B68" s="54"/>
    </row>
    <row r="69" spans="1:3" ht="25.5" x14ac:dyDescent="0.2">
      <c r="A69" s="41" t="s">
        <v>38</v>
      </c>
      <c r="B69" s="51" t="s">
        <v>1</v>
      </c>
    </row>
    <row r="70" spans="1:3" x14ac:dyDescent="0.2">
      <c r="A70" s="26" t="s">
        <v>37</v>
      </c>
      <c r="B70" s="56">
        <v>2083.3333333333335</v>
      </c>
    </row>
    <row r="71" spans="1:3" x14ac:dyDescent="0.2">
      <c r="A71" s="27"/>
      <c r="B71" s="61">
        <f>SUM(B70:B70)</f>
        <v>2083.3333333333335</v>
      </c>
      <c r="C71" s="2">
        <f>B71/$B$85</f>
        <v>2.404672412401769E-2</v>
      </c>
    </row>
    <row r="72" spans="1:3" x14ac:dyDescent="0.2">
      <c r="A72" s="27"/>
      <c r="B72" s="54"/>
      <c r="C72" s="5"/>
    </row>
    <row r="73" spans="1:3" ht="25.5" x14ac:dyDescent="0.2">
      <c r="A73" s="41" t="s">
        <v>5</v>
      </c>
      <c r="B73" s="51" t="s">
        <v>1</v>
      </c>
    </row>
    <row r="74" spans="1:3" x14ac:dyDescent="0.2">
      <c r="A74" s="26" t="s">
        <v>7</v>
      </c>
      <c r="B74" s="56">
        <f>421*1.07</f>
        <v>450.47</v>
      </c>
    </row>
    <row r="75" spans="1:3" x14ac:dyDescent="0.2">
      <c r="A75" s="27"/>
      <c r="B75" s="61">
        <f>SUM(B74)</f>
        <v>450.47</v>
      </c>
      <c r="C75" s="2">
        <f>B75/$B$85</f>
        <v>5.1995173517501991E-3</v>
      </c>
    </row>
    <row r="76" spans="1:3" x14ac:dyDescent="0.2">
      <c r="A76" s="27"/>
      <c r="B76" s="54"/>
      <c r="C76" s="5"/>
    </row>
    <row r="77" spans="1:3" x14ac:dyDescent="0.2">
      <c r="A77" s="27"/>
      <c r="B77" s="62"/>
      <c r="C77" s="5"/>
    </row>
    <row r="78" spans="1:3" ht="25.5" x14ac:dyDescent="0.2">
      <c r="A78" s="44" t="s">
        <v>36</v>
      </c>
      <c r="B78" s="51" t="s">
        <v>1</v>
      </c>
      <c r="C78" s="5"/>
    </row>
    <row r="79" spans="1:3" x14ac:dyDescent="0.2">
      <c r="A79" s="34" t="s">
        <v>35</v>
      </c>
      <c r="B79" s="56">
        <v>0</v>
      </c>
      <c r="C79" s="2">
        <f>B79/$B$85</f>
        <v>0</v>
      </c>
    </row>
    <row r="80" spans="1:3" x14ac:dyDescent="0.2">
      <c r="A80" s="27"/>
      <c r="B80" s="61">
        <f>SUM(B79)</f>
        <v>0</v>
      </c>
      <c r="C80" s="2">
        <f>B80/$B$85</f>
        <v>0</v>
      </c>
    </row>
    <row r="81" spans="1:6" x14ac:dyDescent="0.2">
      <c r="A81" s="27"/>
    </row>
    <row r="82" spans="1:6" x14ac:dyDescent="0.2">
      <c r="A82" s="27"/>
      <c r="B82" s="60"/>
    </row>
    <row r="83" spans="1:6" x14ac:dyDescent="0.2">
      <c r="A83" s="35"/>
    </row>
    <row r="84" spans="1:6" ht="25.5" x14ac:dyDescent="0.2">
      <c r="A84" s="36"/>
      <c r="B84" s="51" t="s">
        <v>1</v>
      </c>
    </row>
    <row r="85" spans="1:6" x14ac:dyDescent="0.2">
      <c r="A85" s="37" t="s">
        <v>29</v>
      </c>
      <c r="B85" s="63">
        <f>SUM(B9,B30,B44,B56,B67,B75,B80,B71)</f>
        <v>86636.887527333325</v>
      </c>
      <c r="C85" s="7">
        <f>C9+C30+C44+C56+C67+C75+C80+C80+C71</f>
        <v>1</v>
      </c>
    </row>
    <row r="86" spans="1:6" s="11" customFormat="1" x14ac:dyDescent="0.2">
      <c r="A86" s="38"/>
      <c r="B86" s="64"/>
      <c r="C86" s="21"/>
    </row>
    <row r="88" spans="1:6" ht="25.5" x14ac:dyDescent="0.2">
      <c r="A88" s="39"/>
      <c r="B88" s="51" t="s">
        <v>62</v>
      </c>
    </row>
    <row r="89" spans="1:6" x14ac:dyDescent="0.2">
      <c r="A89" s="39" t="s">
        <v>34</v>
      </c>
      <c r="B89" s="65">
        <f>'[1]PRESTAÇÃO DE CONTAS'!M98</f>
        <v>162242.59</v>
      </c>
      <c r="C89" s="7"/>
    </row>
    <row r="91" spans="1:6" x14ac:dyDescent="0.2">
      <c r="A91" s="39"/>
      <c r="B91" s="51"/>
    </row>
    <row r="92" spans="1:6" x14ac:dyDescent="0.2">
      <c r="A92" s="39" t="s">
        <v>33</v>
      </c>
      <c r="B92" s="66">
        <v>0.2</v>
      </c>
      <c r="C92" s="7"/>
    </row>
    <row r="94" spans="1:6" s="9" customFormat="1" ht="13.5" thickBot="1" x14ac:dyDescent="0.25">
      <c r="A94" s="45"/>
      <c r="B94" s="67"/>
      <c r="C94" s="8"/>
    </row>
    <row r="95" spans="1:6" s="9" customFormat="1" ht="13.5" thickBot="1" x14ac:dyDescent="0.25">
      <c r="A95" s="46" t="s">
        <v>60</v>
      </c>
      <c r="B95" s="68"/>
      <c r="C95" s="20"/>
      <c r="D95" s="19">
        <f>B85</f>
        <v>86636.887527333325</v>
      </c>
    </row>
    <row r="96" spans="1:6" s="9" customFormat="1" x14ac:dyDescent="0.2">
      <c r="A96" s="47"/>
      <c r="B96" s="67"/>
      <c r="C96" s="8"/>
      <c r="D96" s="18">
        <v>0.2</v>
      </c>
      <c r="E96" s="18">
        <v>0.1</v>
      </c>
      <c r="F96" s="18">
        <v>0.15</v>
      </c>
    </row>
    <row r="97" spans="1:7" s="9" customFormat="1" x14ac:dyDescent="0.2">
      <c r="A97" s="48" t="s">
        <v>32</v>
      </c>
      <c r="B97" s="69"/>
      <c r="C97" s="16"/>
      <c r="D97" s="13">
        <f>D95*1.2</f>
        <v>103964.26503279999</v>
      </c>
      <c r="E97" s="13">
        <f>D95*1.1</f>
        <v>95300.576280066671</v>
      </c>
      <c r="F97" s="13">
        <f>D95*1.15</f>
        <v>99632.420656433314</v>
      </c>
    </row>
    <row r="98" spans="1:7" s="9" customFormat="1" x14ac:dyDescent="0.2">
      <c r="A98" s="48"/>
      <c r="B98" s="70"/>
      <c r="C98" s="17"/>
      <c r="D98" s="16"/>
      <c r="E98" s="16"/>
      <c r="F98" s="16"/>
    </row>
    <row r="99" spans="1:7" s="9" customFormat="1" x14ac:dyDescent="0.2">
      <c r="A99" s="49" t="s">
        <v>31</v>
      </c>
      <c r="B99" s="71"/>
      <c r="C99" s="15"/>
      <c r="D99" s="14">
        <f>D97/340</f>
        <v>305.77725009647054</v>
      </c>
      <c r="E99" s="14">
        <f>E97/340</f>
        <v>280.29581258843137</v>
      </c>
      <c r="F99" s="13">
        <f>F97/340</f>
        <v>293.03653134245093</v>
      </c>
    </row>
    <row r="100" spans="1:7" s="9" customFormat="1" x14ac:dyDescent="0.2">
      <c r="A100" s="45"/>
      <c r="B100" s="57"/>
      <c r="C100" s="8"/>
    </row>
    <row r="101" spans="1:7" x14ac:dyDescent="0.2">
      <c r="C101" s="74"/>
      <c r="D101" s="74"/>
      <c r="E101" s="74"/>
      <c r="F101" s="74"/>
      <c r="G101" s="74"/>
    </row>
    <row r="102" spans="1:7" x14ac:dyDescent="0.2">
      <c r="A102" s="39" t="s">
        <v>66</v>
      </c>
      <c r="B102" s="61">
        <f>400000/340/24</f>
        <v>49.019607843137258</v>
      </c>
      <c r="C102" s="74"/>
      <c r="D102" s="73"/>
      <c r="E102" s="73">
        <f>E99+B102</f>
        <v>329.31542043156861</v>
      </c>
      <c r="F102" s="73"/>
      <c r="G102" s="74"/>
    </row>
    <row r="103" spans="1:7" x14ac:dyDescent="0.2">
      <c r="A103" s="39" t="s">
        <v>67</v>
      </c>
      <c r="B103" s="61">
        <f>300000/340/24</f>
        <v>36.764705882352942</v>
      </c>
      <c r="C103" s="74"/>
      <c r="D103" s="73"/>
      <c r="E103" s="73">
        <f>E99+B103</f>
        <v>317.0605184707843</v>
      </c>
      <c r="F103" s="73"/>
      <c r="G103" s="74"/>
    </row>
    <row r="104" spans="1:7" ht="15" customHeight="1" x14ac:dyDescent="0.2">
      <c r="A104" s="39" t="s">
        <v>68</v>
      </c>
      <c r="B104" s="61">
        <f>250000/340/24</f>
        <v>30.637254901960784</v>
      </c>
      <c r="C104" s="74"/>
      <c r="D104" s="73"/>
      <c r="E104" s="73">
        <f>E99+B104</f>
        <v>310.93306749039215</v>
      </c>
      <c r="F104" s="73"/>
      <c r="G104" s="74"/>
    </row>
    <row r="105" spans="1:7" x14ac:dyDescent="0.2">
      <c r="C105" s="74"/>
      <c r="D105" s="74"/>
      <c r="E105" s="74"/>
      <c r="F105" s="74"/>
      <c r="G105" s="74"/>
    </row>
    <row r="106" spans="1:7" x14ac:dyDescent="0.2">
      <c r="A106" s="39" t="s">
        <v>65</v>
      </c>
      <c r="B106" s="61">
        <f>227590/340/24</f>
        <v>27.890931372549019</v>
      </c>
      <c r="C106" s="74"/>
      <c r="D106" s="73"/>
      <c r="E106" s="75">
        <f>E99+B106</f>
        <v>308.18674396098038</v>
      </c>
      <c r="F106" s="73"/>
      <c r="G106" s="74"/>
    </row>
    <row r="107" spans="1:7" x14ac:dyDescent="0.2">
      <c r="A107" s="40"/>
      <c r="C107" s="74"/>
      <c r="D107" s="74"/>
      <c r="E107" s="74"/>
      <c r="F107" s="74"/>
      <c r="G107" s="74"/>
    </row>
  </sheetData>
  <mergeCells count="4">
    <mergeCell ref="D4:F4"/>
    <mergeCell ref="D5:F5"/>
    <mergeCell ref="D8:F8"/>
    <mergeCell ref="E50:G5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2" sqref="B12"/>
    </sheetView>
  </sheetViews>
  <sheetFormatPr defaultRowHeight="12.75" x14ac:dyDescent="0.2"/>
  <cols>
    <col min="1" max="1" width="16" style="22" bestFit="1" customWidth="1"/>
    <col min="2" max="3" width="14.28515625" style="22" bestFit="1" customWidth="1"/>
    <col min="4" max="5" width="13.28515625" bestFit="1" customWidth="1"/>
    <col min="8" max="8" width="14.28515625" style="22" bestFit="1" customWidth="1"/>
  </cols>
  <sheetData>
    <row r="1" spans="1:8" x14ac:dyDescent="0.2">
      <c r="A1" s="22">
        <v>379317.21</v>
      </c>
      <c r="B1" s="22">
        <v>150000</v>
      </c>
      <c r="C1" s="24">
        <f>A1*0.4</f>
        <v>151726.88400000002</v>
      </c>
    </row>
    <row r="3" spans="1:8" x14ac:dyDescent="0.2">
      <c r="A3" s="22">
        <v>100000</v>
      </c>
      <c r="B3" s="22">
        <f>A1-A3</f>
        <v>279317.21000000002</v>
      </c>
      <c r="C3" s="22">
        <f>B3/15</f>
        <v>18621.147333333334</v>
      </c>
      <c r="H3" s="22">
        <v>150000</v>
      </c>
    </row>
    <row r="4" spans="1:8" x14ac:dyDescent="0.2">
      <c r="H4" s="22">
        <f>D5*15</f>
        <v>104317.21000000002</v>
      </c>
    </row>
    <row r="5" spans="1:8" x14ac:dyDescent="0.2">
      <c r="A5" s="22">
        <v>150000</v>
      </c>
      <c r="B5" s="22">
        <f>A1-A5</f>
        <v>229317.21000000002</v>
      </c>
      <c r="C5" s="22">
        <f>B5/15</f>
        <v>15287.814000000002</v>
      </c>
      <c r="D5" s="23">
        <f>C5-E12</f>
        <v>6954.4806666666682</v>
      </c>
      <c r="H5" s="22">
        <f>H3-H4</f>
        <v>45682.789999999979</v>
      </c>
    </row>
    <row r="8" spans="1:8" x14ac:dyDescent="0.2">
      <c r="A8" s="22">
        <v>400000</v>
      </c>
      <c r="B8" s="22">
        <f>A8/340</f>
        <v>1176.4705882352941</v>
      </c>
      <c r="C8" s="22">
        <f>B8/24</f>
        <v>49.019607843137258</v>
      </c>
      <c r="D8" s="23">
        <f>C8*340</f>
        <v>16666.666666666668</v>
      </c>
      <c r="E8" s="23">
        <f>D8*0.8</f>
        <v>13333.333333333336</v>
      </c>
    </row>
    <row r="10" spans="1:8" x14ac:dyDescent="0.2">
      <c r="A10" s="22">
        <v>300000</v>
      </c>
      <c r="B10" s="22">
        <f>A10/340</f>
        <v>882.35294117647061</v>
      </c>
      <c r="C10" s="22">
        <f>B10/24</f>
        <v>36.764705882352942</v>
      </c>
      <c r="D10" s="23">
        <f>C10*340</f>
        <v>12500</v>
      </c>
      <c r="E10" s="23">
        <f>D10*0.8</f>
        <v>10000</v>
      </c>
    </row>
    <row r="12" spans="1:8" x14ac:dyDescent="0.2">
      <c r="A12" s="22">
        <v>250000</v>
      </c>
      <c r="B12" s="22">
        <f>A12/340</f>
        <v>735.29411764705878</v>
      </c>
      <c r="C12" s="22">
        <f>B12/24</f>
        <v>30.637254901960784</v>
      </c>
      <c r="D12" s="23">
        <f>C12*340</f>
        <v>10416.666666666666</v>
      </c>
      <c r="E12" s="23">
        <f>D12*0.8</f>
        <v>8333.3333333333339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PREVISÃO 2</vt:lpstr>
      <vt:lpstr>Plan4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Thiago</cp:lastModifiedBy>
  <cp:revision>0</cp:revision>
  <dcterms:created xsi:type="dcterms:W3CDTF">2018-11-06T18:25:36Z</dcterms:created>
  <dcterms:modified xsi:type="dcterms:W3CDTF">2019-03-31T17:15:50Z</dcterms:modified>
</cp:coreProperties>
</file>